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ram\OneDrive\Escritorio\"/>
    </mc:Choice>
  </mc:AlternateContent>
  <bookViews>
    <workbookView xWindow="0" yWindow="0" windowWidth="20490" windowHeight="7650" activeTab="1"/>
  </bookViews>
  <sheets>
    <sheet name="Database" sheetId="1" r:id="rId1"/>
    <sheet name="Interface" sheetId="2" r:id="rId2"/>
  </sheets>
  <calcPr calcId="162913"/>
  <extLst>
    <ext uri="GoogleSheetsCustomDataVersion1">
      <go:sheetsCustomData xmlns:go="http://customooxmlschemas.google.com/" r:id="rId7" roundtripDataSignature="AMtx7mhE+kUkCkAN1AeM1cSKwoCsszAbTA=="/>
    </ext>
  </extLst>
</workbook>
</file>

<file path=xl/calcChain.xml><?xml version="1.0" encoding="utf-8"?>
<calcChain xmlns="http://schemas.openxmlformats.org/spreadsheetml/2006/main">
  <c r="M12" i="2" l="1"/>
  <c r="L12" i="2"/>
  <c r="K12" i="2"/>
  <c r="N12" i="2"/>
  <c r="N11" i="2"/>
  <c r="D12" i="2"/>
  <c r="E12" i="2"/>
  <c r="F12" i="2"/>
  <c r="N10" i="2"/>
  <c r="N9" i="2"/>
  <c r="N8" i="2"/>
  <c r="N7" i="2"/>
  <c r="N6" i="2"/>
  <c r="N5" i="2"/>
  <c r="N4" i="2"/>
  <c r="N3" i="2"/>
  <c r="N2" i="2"/>
  <c r="M2" i="2"/>
  <c r="J13" i="2"/>
  <c r="K2" i="2"/>
  <c r="F12" i="1"/>
  <c r="B19" i="2"/>
  <c r="I13" i="2"/>
  <c r="H13" i="2"/>
  <c r="G13" i="2"/>
  <c r="M11" i="2"/>
  <c r="L11" i="2"/>
  <c r="K11" i="2"/>
  <c r="F11" i="2"/>
  <c r="E11" i="2"/>
  <c r="M10" i="2"/>
  <c r="L10" i="2"/>
  <c r="K10" i="2"/>
  <c r="F10" i="2"/>
  <c r="E10" i="2"/>
  <c r="M9" i="2"/>
  <c r="L9" i="2"/>
  <c r="K9" i="2"/>
  <c r="F9" i="2"/>
  <c r="E9" i="2"/>
  <c r="M8" i="2"/>
  <c r="L8" i="2"/>
  <c r="K8" i="2"/>
  <c r="F8" i="2"/>
  <c r="E8" i="2"/>
  <c r="M7" i="2"/>
  <c r="L7" i="2"/>
  <c r="K7" i="2"/>
  <c r="F7" i="2"/>
  <c r="E7" i="2"/>
  <c r="M6" i="2"/>
  <c r="L6" i="2"/>
  <c r="K6" i="2"/>
  <c r="F6" i="2"/>
  <c r="E6" i="2"/>
  <c r="M5" i="2"/>
  <c r="L5" i="2"/>
  <c r="K5" i="2"/>
  <c r="F5" i="2"/>
  <c r="E5" i="2"/>
  <c r="M4" i="2"/>
  <c r="L4" i="2"/>
  <c r="K4" i="2"/>
  <c r="F4" i="2"/>
  <c r="E4" i="2"/>
  <c r="M3" i="2"/>
  <c r="L3" i="2"/>
  <c r="K3" i="2"/>
  <c r="F3" i="2"/>
  <c r="E3" i="2"/>
  <c r="L2" i="2"/>
  <c r="F2" i="2"/>
  <c r="E2" i="2"/>
  <c r="F11" i="1"/>
  <c r="D11" i="2" s="1"/>
  <c r="F10" i="1"/>
  <c r="D10" i="2" s="1"/>
  <c r="F9" i="1"/>
  <c r="D9" i="2" s="1"/>
  <c r="B17" i="2" s="1"/>
  <c r="F8" i="1"/>
  <c r="D8" i="2" s="1"/>
  <c r="F7" i="1"/>
  <c r="D7" i="2" s="1"/>
  <c r="F6" i="1"/>
  <c r="D6" i="2" s="1"/>
  <c r="F5" i="1"/>
  <c r="D5" i="2" s="1"/>
  <c r="F4" i="1"/>
  <c r="D4" i="2" s="1"/>
  <c r="F3" i="1"/>
  <c r="D3" i="2" s="1"/>
  <c r="F2" i="1"/>
  <c r="D2" i="2" s="1"/>
  <c r="B15" i="2" l="1"/>
  <c r="B16" i="2"/>
  <c r="B18" i="2"/>
  <c r="E15" i="2"/>
  <c r="E17" i="2" s="1"/>
  <c r="B21" i="2" l="1"/>
</calcChain>
</file>

<file path=xl/sharedStrings.xml><?xml version="1.0" encoding="utf-8"?>
<sst xmlns="http://schemas.openxmlformats.org/spreadsheetml/2006/main" count="102" uniqueCount="44">
  <si>
    <t>Category</t>
  </si>
  <si>
    <t>Cost</t>
  </si>
  <si>
    <t>Food</t>
  </si>
  <si>
    <t>Nutrient per unit</t>
  </si>
  <si>
    <t>Nutrient per purchase</t>
  </si>
  <si>
    <t>Requirement food</t>
  </si>
  <si>
    <t>Grassland requirement</t>
  </si>
  <si>
    <t>Agricultural land requirement</t>
  </si>
  <si>
    <t>Rocky land requirement</t>
  </si>
  <si>
    <t>nuts tree</t>
  </si>
  <si>
    <t>Meat</t>
  </si>
  <si>
    <t>chicken</t>
  </si>
  <si>
    <t>cow</t>
  </si>
  <si>
    <t>NA</t>
  </si>
  <si>
    <t>goat</t>
  </si>
  <si>
    <t>Cow milk</t>
  </si>
  <si>
    <t>Dairy</t>
  </si>
  <si>
    <t>Goat milk</t>
  </si>
  <si>
    <t>Egg Chicken</t>
  </si>
  <si>
    <t>Wheat</t>
  </si>
  <si>
    <t>Cereal</t>
  </si>
  <si>
    <t>Vegetables plant</t>
  </si>
  <si>
    <t>Plants</t>
  </si>
  <si>
    <t>Fruit tree</t>
  </si>
  <si>
    <t>Product</t>
  </si>
  <si>
    <t>Quantity bought</t>
  </si>
  <si>
    <t>Nutrient value</t>
  </si>
  <si>
    <t>Animal food cost</t>
  </si>
  <si>
    <t>Grassland</t>
  </si>
  <si>
    <t>Agricultural</t>
  </si>
  <si>
    <t>Rocky land</t>
  </si>
  <si>
    <t>Missing grassland</t>
  </si>
  <si>
    <t>Missing agricultural land</t>
  </si>
  <si>
    <t>Missing Rocky land</t>
  </si>
  <si>
    <t>Total cost without fat</t>
  </si>
  <si>
    <t>Fat (Yes/No)</t>
  </si>
  <si>
    <t>No</t>
  </si>
  <si>
    <t>Total cost with fat</t>
  </si>
  <si>
    <t>Fats</t>
  </si>
  <si>
    <t>Total</t>
  </si>
  <si>
    <t>900-1200</t>
  </si>
  <si>
    <t>Fish</t>
  </si>
  <si>
    <t>Water</t>
  </si>
  <si>
    <t>Missing Water 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</si>
</sst>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Arial"/>
    </font>
    <font>
      <sz val="11"/>
      <color theme="1"/>
      <name val="Calibri"/>
    </font>
    <font>
      <b/>
      <sz val="18"/>
      <color theme="0"/>
      <name val="Calibri"/>
    </font>
    <font>
      <sz val="16"/>
      <color theme="1"/>
      <name val="Calibri"/>
    </font>
    <font>
      <sz val="18"/>
      <color theme="1"/>
      <name val="Arial"/>
    </font>
    <font>
      <sz val="18"/>
      <color theme="1"/>
      <name val="Calibri"/>
    </font>
    <font>
      <sz val="18"/>
      <color theme="1"/>
      <name val="Arial"/>
    </font>
    <font>
      <b/>
      <sz val="16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525252"/>
        <bgColor rgb="FF525252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ck">
        <color rgb="FF7F7F7F"/>
      </left>
      <right/>
      <top style="thick">
        <color rgb="FF7F7F7F"/>
      </top>
      <bottom/>
      <diagonal/>
    </border>
    <border>
      <left style="thick">
        <color rgb="FF7F7F7F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7F7F7F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7F7F7F"/>
      </left>
      <right style="thick">
        <color rgb="FF7F7F7F"/>
      </right>
      <top style="thick">
        <color rgb="FF7F7F7F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1" fillId="0" borderId="0" xfId="0" applyFont="1" applyAlignment="1"/>
    <xf numFmtId="0" fontId="4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3">
    <dxf>
      <font>
        <b/>
        <color theme="0"/>
      </font>
      <fill>
        <patternFill patternType="solid">
          <fgColor rgb="FFFF0000"/>
          <bgColor rgb="FFFF0000"/>
        </patternFill>
      </fill>
    </dxf>
    <dxf>
      <font>
        <b/>
        <color theme="0"/>
      </font>
      <fill>
        <patternFill patternType="solid">
          <fgColor rgb="FF92D050"/>
          <bgColor rgb="FF92D050"/>
        </patternFill>
      </fill>
    </dxf>
    <dxf>
      <fill>
        <patternFill patternType="solid"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I4" sqref="I4"/>
    </sheetView>
  </sheetViews>
  <sheetFormatPr baseColWidth="10" defaultColWidth="12.625" defaultRowHeight="15" customHeight="1" x14ac:dyDescent="0.2"/>
  <cols>
    <col min="1" max="2" width="14.125" customWidth="1"/>
    <col min="3" max="4" width="8" customWidth="1"/>
    <col min="5" max="5" width="14.125" customWidth="1"/>
    <col min="6" max="6" width="18.125" customWidth="1"/>
    <col min="7" max="7" width="15.375" customWidth="1"/>
    <col min="8" max="8" width="19" customWidth="1"/>
    <col min="9" max="9" width="24.375" customWidth="1"/>
    <col min="10" max="10" width="19.75" customWidth="1"/>
    <col min="11" max="26" width="8" customWidth="1"/>
  </cols>
  <sheetData>
    <row r="1" spans="1:11" x14ac:dyDescent="0.25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26" t="s">
        <v>42</v>
      </c>
    </row>
    <row r="2" spans="1:11" x14ac:dyDescent="0.25">
      <c r="A2" s="1" t="s">
        <v>9</v>
      </c>
      <c r="B2" t="s">
        <v>10</v>
      </c>
      <c r="C2" s="1">
        <v>6</v>
      </c>
      <c r="D2" s="1">
        <v>1</v>
      </c>
      <c r="E2" s="1">
        <v>30</v>
      </c>
      <c r="F2" s="1">
        <f t="shared" ref="F2:F12" si="0">E2*D2</f>
        <v>30</v>
      </c>
      <c r="G2" s="1">
        <v>0</v>
      </c>
      <c r="H2" s="1">
        <v>1</v>
      </c>
      <c r="I2" s="1">
        <v>1</v>
      </c>
      <c r="J2" s="1">
        <v>1</v>
      </c>
      <c r="K2" t="s">
        <v>13</v>
      </c>
    </row>
    <row r="3" spans="1:11" x14ac:dyDescent="0.25">
      <c r="A3" s="1" t="s">
        <v>11</v>
      </c>
      <c r="B3" s="1" t="s">
        <v>10</v>
      </c>
      <c r="C3" s="1">
        <v>6</v>
      </c>
      <c r="D3" s="1">
        <v>3</v>
      </c>
      <c r="E3" s="1">
        <v>10</v>
      </c>
      <c r="F3" s="1">
        <f t="shared" si="0"/>
        <v>30</v>
      </c>
      <c r="G3" s="1">
        <v>1</v>
      </c>
      <c r="H3" s="1">
        <v>0</v>
      </c>
      <c r="I3" s="1">
        <v>0</v>
      </c>
      <c r="J3" s="1">
        <v>0</v>
      </c>
      <c r="K3" t="s">
        <v>13</v>
      </c>
    </row>
    <row r="4" spans="1:11" x14ac:dyDescent="0.25">
      <c r="A4" s="1" t="s">
        <v>12</v>
      </c>
      <c r="B4" s="1" t="s">
        <v>10</v>
      </c>
      <c r="C4" s="1">
        <v>10</v>
      </c>
      <c r="D4" s="1">
        <v>1</v>
      </c>
      <c r="E4" s="1">
        <v>50</v>
      </c>
      <c r="F4" s="1">
        <f t="shared" si="0"/>
        <v>50</v>
      </c>
      <c r="G4" s="1">
        <v>3</v>
      </c>
      <c r="H4" s="1">
        <v>3</v>
      </c>
      <c r="I4" s="1" t="s">
        <v>13</v>
      </c>
      <c r="J4" s="1" t="s">
        <v>13</v>
      </c>
      <c r="K4" t="s">
        <v>13</v>
      </c>
    </row>
    <row r="5" spans="1:11" x14ac:dyDescent="0.25">
      <c r="A5" s="1" t="s">
        <v>14</v>
      </c>
      <c r="B5" s="1" t="s">
        <v>10</v>
      </c>
      <c r="C5" s="1">
        <v>8</v>
      </c>
      <c r="D5" s="1">
        <v>2</v>
      </c>
      <c r="E5" s="1">
        <v>20</v>
      </c>
      <c r="F5" s="1">
        <f t="shared" si="0"/>
        <v>40</v>
      </c>
      <c r="G5" s="1">
        <v>2</v>
      </c>
      <c r="H5" s="1">
        <v>2</v>
      </c>
      <c r="I5" s="1" t="s">
        <v>13</v>
      </c>
      <c r="J5" s="1">
        <v>3</v>
      </c>
      <c r="K5" t="s">
        <v>13</v>
      </c>
    </row>
    <row r="6" spans="1:11" x14ac:dyDescent="0.25">
      <c r="A6" s="1" t="s">
        <v>15</v>
      </c>
      <c r="B6" s="1" t="s">
        <v>16</v>
      </c>
      <c r="C6" s="1">
        <v>8</v>
      </c>
      <c r="D6" s="1">
        <v>3</v>
      </c>
      <c r="E6" s="1">
        <v>15</v>
      </c>
      <c r="F6" s="1">
        <f t="shared" si="0"/>
        <v>45</v>
      </c>
      <c r="G6" s="1">
        <v>3</v>
      </c>
      <c r="H6" s="1">
        <v>3</v>
      </c>
      <c r="I6" s="1" t="s">
        <v>13</v>
      </c>
      <c r="J6" s="1" t="s">
        <v>13</v>
      </c>
      <c r="K6" t="s">
        <v>13</v>
      </c>
    </row>
    <row r="7" spans="1:11" x14ac:dyDescent="0.25">
      <c r="A7" s="1" t="s">
        <v>17</v>
      </c>
      <c r="B7" s="1" t="s">
        <v>16</v>
      </c>
      <c r="C7" s="1">
        <v>6</v>
      </c>
      <c r="D7" s="1">
        <v>2</v>
      </c>
      <c r="E7" s="1">
        <v>15</v>
      </c>
      <c r="F7" s="1">
        <f t="shared" si="0"/>
        <v>30</v>
      </c>
      <c r="G7" s="1">
        <v>2</v>
      </c>
      <c r="H7" s="1">
        <v>2</v>
      </c>
      <c r="I7" s="1" t="s">
        <v>13</v>
      </c>
      <c r="J7" s="1">
        <v>3</v>
      </c>
      <c r="K7" t="s">
        <v>13</v>
      </c>
    </row>
    <row r="8" spans="1:11" x14ac:dyDescent="0.25">
      <c r="A8" s="1" t="s">
        <v>18</v>
      </c>
      <c r="B8" s="1" t="s">
        <v>16</v>
      </c>
      <c r="C8" s="1">
        <v>4</v>
      </c>
      <c r="D8" s="1">
        <v>2</v>
      </c>
      <c r="E8" s="1">
        <v>10</v>
      </c>
      <c r="F8" s="1">
        <f t="shared" si="0"/>
        <v>20</v>
      </c>
      <c r="G8" s="1">
        <v>1</v>
      </c>
      <c r="H8" s="1">
        <v>0</v>
      </c>
      <c r="I8" s="1">
        <v>0</v>
      </c>
      <c r="J8" s="1">
        <v>0</v>
      </c>
      <c r="K8" t="s">
        <v>13</v>
      </c>
    </row>
    <row r="9" spans="1:11" x14ac:dyDescent="0.25">
      <c r="A9" s="1" t="s">
        <v>19</v>
      </c>
      <c r="B9" s="1" t="s">
        <v>20</v>
      </c>
      <c r="C9" s="1">
        <v>4</v>
      </c>
      <c r="D9" s="1">
        <v>5</v>
      </c>
      <c r="E9" s="1">
        <v>10</v>
      </c>
      <c r="F9" s="1">
        <f t="shared" si="0"/>
        <v>50</v>
      </c>
      <c r="G9" s="1">
        <v>0</v>
      </c>
      <c r="H9" s="1" t="s">
        <v>13</v>
      </c>
      <c r="I9" s="1">
        <v>1</v>
      </c>
      <c r="J9" s="1" t="s">
        <v>13</v>
      </c>
      <c r="K9" t="s">
        <v>13</v>
      </c>
    </row>
    <row r="10" spans="1:11" x14ac:dyDescent="0.25">
      <c r="A10" s="1" t="s">
        <v>21</v>
      </c>
      <c r="B10" s="1" t="s">
        <v>22</v>
      </c>
      <c r="C10" s="1">
        <v>3</v>
      </c>
      <c r="D10" s="1">
        <v>2</v>
      </c>
      <c r="E10" s="1">
        <v>15</v>
      </c>
      <c r="F10" s="1">
        <f t="shared" si="0"/>
        <v>30</v>
      </c>
      <c r="G10" s="1">
        <v>0</v>
      </c>
      <c r="H10" s="1" t="s">
        <v>13</v>
      </c>
      <c r="I10" s="1">
        <v>1</v>
      </c>
      <c r="J10" s="1" t="s">
        <v>13</v>
      </c>
      <c r="K10" t="s">
        <v>13</v>
      </c>
    </row>
    <row r="11" spans="1:11" x14ac:dyDescent="0.25">
      <c r="A11" s="1" t="s">
        <v>23</v>
      </c>
      <c r="B11" s="1" t="s">
        <v>22</v>
      </c>
      <c r="C11" s="1">
        <v>6</v>
      </c>
      <c r="D11" s="1">
        <v>3</v>
      </c>
      <c r="E11" s="1">
        <v>12</v>
      </c>
      <c r="F11" s="1">
        <f t="shared" si="0"/>
        <v>36</v>
      </c>
      <c r="G11" s="1">
        <v>0</v>
      </c>
      <c r="H11" s="1">
        <v>1</v>
      </c>
      <c r="I11" s="1">
        <v>1</v>
      </c>
      <c r="J11" s="1">
        <v>1</v>
      </c>
      <c r="K11" t="s">
        <v>13</v>
      </c>
    </row>
    <row r="12" spans="1:11" ht="15" customHeight="1" x14ac:dyDescent="0.25">
      <c r="A12" s="26" t="s">
        <v>41</v>
      </c>
      <c r="B12" s="26" t="s">
        <v>10</v>
      </c>
      <c r="C12" s="26">
        <v>6</v>
      </c>
      <c r="D12" s="26">
        <v>2</v>
      </c>
      <c r="E12" s="26">
        <v>25</v>
      </c>
      <c r="F12" s="26">
        <f t="shared" si="0"/>
        <v>50</v>
      </c>
      <c r="G12" s="26">
        <v>0</v>
      </c>
      <c r="H12" t="s">
        <v>13</v>
      </c>
      <c r="I12" t="s">
        <v>13</v>
      </c>
      <c r="J12" t="s">
        <v>13</v>
      </c>
      <c r="K12">
        <v>1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01"/>
  <sheetViews>
    <sheetView showGridLines="0" tabSelected="1" zoomScale="70" zoomScaleNormal="70" workbookViewId="0">
      <selection activeCell="C2" sqref="C2:C12"/>
    </sheetView>
  </sheetViews>
  <sheetFormatPr baseColWidth="10" defaultColWidth="12.625" defaultRowHeight="15" customHeight="1" x14ac:dyDescent="0.2"/>
  <cols>
    <col min="1" max="1" width="14.125" customWidth="1"/>
    <col min="2" max="2" width="19.875" customWidth="1"/>
    <col min="3" max="3" width="24.75" customWidth="1"/>
    <col min="4" max="4" width="35.125" customWidth="1"/>
    <col min="5" max="5" width="8" customWidth="1"/>
    <col min="6" max="6" width="14" customWidth="1"/>
    <col min="7" max="7" width="16.375" customWidth="1"/>
    <col min="8" max="8" width="16" customWidth="1"/>
    <col min="9" max="10" width="19.625" customWidth="1"/>
    <col min="11" max="11" width="14.5" customWidth="1"/>
    <col min="12" max="12" width="26.625" customWidth="1"/>
    <col min="13" max="14" width="24" customWidth="1"/>
    <col min="15" max="34" width="8" customWidth="1"/>
  </cols>
  <sheetData>
    <row r="1" spans="1:34" ht="47.25" thickBot="1" x14ac:dyDescent="0.25">
      <c r="A1" s="2" t="s">
        <v>0</v>
      </c>
      <c r="B1" s="2" t="s">
        <v>24</v>
      </c>
      <c r="C1" s="2" t="s">
        <v>25</v>
      </c>
      <c r="D1" s="2" t="s">
        <v>26</v>
      </c>
      <c r="E1" s="2" t="s">
        <v>1</v>
      </c>
      <c r="F1" s="2" t="s">
        <v>27</v>
      </c>
      <c r="G1" s="2" t="s">
        <v>28</v>
      </c>
      <c r="H1" s="2" t="s">
        <v>29</v>
      </c>
      <c r="I1" s="2" t="s">
        <v>30</v>
      </c>
      <c r="J1" s="2" t="s">
        <v>42</v>
      </c>
      <c r="K1" s="2" t="s">
        <v>31</v>
      </c>
      <c r="L1" s="2" t="s">
        <v>32</v>
      </c>
      <c r="M1" s="2" t="s">
        <v>33</v>
      </c>
      <c r="N1" s="2" t="s">
        <v>43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</row>
    <row r="2" spans="1:34" ht="21.75" customHeight="1" thickTop="1" x14ac:dyDescent="0.2">
      <c r="A2" s="3" t="s">
        <v>10</v>
      </c>
      <c r="B2" s="3" t="s">
        <v>9</v>
      </c>
      <c r="C2" s="4"/>
      <c r="D2" s="3">
        <f>VLOOKUP(B2,Database!A:F,6,0)*C2</f>
        <v>0</v>
      </c>
      <c r="E2" s="3">
        <f>VLOOKUP(B2,Database!A:F,3,0)*C2</f>
        <v>0</v>
      </c>
      <c r="F2" s="3">
        <f>VLOOKUP(B2,Database!A:G,7,0)*C2</f>
        <v>0</v>
      </c>
      <c r="G2" s="5"/>
      <c r="H2" s="6"/>
      <c r="I2" s="6"/>
      <c r="J2" s="6"/>
      <c r="K2" s="7">
        <f>IFERROR(VLOOKUP(B2,Database!A:J,8,0)*C2,"Not usable")-G2-H2-I2</f>
        <v>0</v>
      </c>
      <c r="L2" s="7">
        <f>IFERROR(VLOOKUP(B2,Database!A:J,9,0)*C2,"Not usable")-G2-H2-I2</f>
        <v>0</v>
      </c>
      <c r="M2" s="8">
        <f>IFERROR(VLOOKUP(B2,Database!A:J,10,0)*C2,"Not usable")-G2-H2-I2</f>
        <v>0</v>
      </c>
      <c r="N2" s="8" t="str">
        <f>IFERROR(VLOOKUP(B2,Database!A:K,11,0)*C2,"Not usable")</f>
        <v>Not usable</v>
      </c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</row>
    <row r="3" spans="1:34" ht="21.75" customHeight="1" x14ac:dyDescent="0.2">
      <c r="A3" s="3" t="s">
        <v>10</v>
      </c>
      <c r="B3" s="3" t="s">
        <v>11</v>
      </c>
      <c r="C3" s="9"/>
      <c r="D3" s="3">
        <f>VLOOKUP(B3,Database!A:F,6,0)*C3</f>
        <v>0</v>
      </c>
      <c r="E3" s="3">
        <f>VLOOKUP(B3,Database!A:F,3,0)*C3</f>
        <v>0</v>
      </c>
      <c r="F3" s="3">
        <f>VLOOKUP(B3,Database!A:G,7,0)*C3</f>
        <v>0</v>
      </c>
      <c r="G3" s="5"/>
      <c r="H3" s="6"/>
      <c r="I3" s="6"/>
      <c r="J3" s="6"/>
      <c r="K3" s="7">
        <f>IFERROR(VLOOKUP(B3,Database!A:J,8,0)*C3,"Not usable")</f>
        <v>0</v>
      </c>
      <c r="L3" s="7">
        <f>IFERROR(VLOOKUP(B3,Database!A:J,9,0)*C3,"Not usable")</f>
        <v>0</v>
      </c>
      <c r="M3" s="8">
        <f>IFERROR(VLOOKUP(B3,Database!A:J,10,0)*C3,"Not usable")</f>
        <v>0</v>
      </c>
      <c r="N3" s="8" t="str">
        <f>IFERROR(VLOOKUP(B3,Database!A:K,11,0)*C3,"Not usable")</f>
        <v>Not usable</v>
      </c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</row>
    <row r="4" spans="1:34" ht="21.75" customHeight="1" x14ac:dyDescent="0.2">
      <c r="A4" s="3" t="s">
        <v>10</v>
      </c>
      <c r="B4" s="3" t="s">
        <v>12</v>
      </c>
      <c r="C4" s="10"/>
      <c r="D4" s="3">
        <f>VLOOKUP(B4,Database!A:F,6,0)*C4</f>
        <v>0</v>
      </c>
      <c r="E4" s="3">
        <f>VLOOKUP(B4,Database!A:F,3,0)*C4</f>
        <v>0</v>
      </c>
      <c r="F4" s="3">
        <f>VLOOKUP(B4,Database!A:G,7,0)*C4</f>
        <v>0</v>
      </c>
      <c r="G4" s="5"/>
      <c r="H4" s="6"/>
      <c r="I4" s="6"/>
      <c r="J4" s="6"/>
      <c r="K4" s="7">
        <f>IFERROR(VLOOKUP(B4,Database!A:J,8,0)*C4,"Not usable")-G4</f>
        <v>0</v>
      </c>
      <c r="L4" s="7" t="str">
        <f>IFERROR(VLOOKUP(B4,Database!A:J,9,0)*C4,"Not usable")</f>
        <v>Not usable</v>
      </c>
      <c r="M4" s="8" t="str">
        <f>IFERROR(VLOOKUP(B4,Database!A:J,10,0)*C4,"Not usable")</f>
        <v>Not usable</v>
      </c>
      <c r="N4" s="8" t="str">
        <f>IFERROR(VLOOKUP(B4,Database!A:K,11,0)*C4,"Not usable")</f>
        <v>Not usable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ht="21.75" customHeight="1" x14ac:dyDescent="0.2">
      <c r="A5" s="3" t="s">
        <v>10</v>
      </c>
      <c r="B5" s="3" t="s">
        <v>14</v>
      </c>
      <c r="C5" s="10"/>
      <c r="D5" s="3">
        <f>VLOOKUP(B5,Database!A:F,6,0)*C5</f>
        <v>0</v>
      </c>
      <c r="E5" s="3">
        <f>VLOOKUP(B5,Database!A:F,3,0)*C5</f>
        <v>0</v>
      </c>
      <c r="F5" s="3">
        <f>VLOOKUP(B5,Database!A:G,7,0)*C5</f>
        <v>0</v>
      </c>
      <c r="G5" s="5"/>
      <c r="H5" s="6"/>
      <c r="I5" s="6"/>
      <c r="J5" s="6"/>
      <c r="K5" s="7">
        <f>IFERROR(VLOOKUP(B5,Database!A:J,8,0)*C5,"Not usable")-G5-(I5/3)*2</f>
        <v>0</v>
      </c>
      <c r="L5" s="7" t="str">
        <f>IFERROR(VLOOKUP(B5,Database!A:J,9,0)*C5,"Not usable")</f>
        <v>Not usable</v>
      </c>
      <c r="M5" s="8">
        <f>IFERROR(VLOOKUP(B5,Database!A:J,10,0)*C5,"Not usable")-I5-(G5/2)*3</f>
        <v>0</v>
      </c>
      <c r="N5" s="8" t="str">
        <f>IFERROR(VLOOKUP(B5,Database!A:K,11,0)*C5,"Not usable")</f>
        <v>Not usable</v>
      </c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21.75" customHeight="1" x14ac:dyDescent="0.2">
      <c r="A6" s="3" t="s">
        <v>16</v>
      </c>
      <c r="B6" s="3" t="s">
        <v>15</v>
      </c>
      <c r="C6" s="9"/>
      <c r="D6" s="3">
        <f>VLOOKUP(B6,Database!A:F,6,0)*C6</f>
        <v>0</v>
      </c>
      <c r="E6" s="3">
        <f>VLOOKUP(B6,Database!A:F,3,0)*C6</f>
        <v>0</v>
      </c>
      <c r="F6" s="3">
        <f>VLOOKUP(B6,Database!A:G,7,0)*C6</f>
        <v>0</v>
      </c>
      <c r="G6" s="5"/>
      <c r="H6" s="6"/>
      <c r="I6" s="6"/>
      <c r="J6" s="6"/>
      <c r="K6" s="7">
        <f>IFERROR(VLOOKUP(B6,Database!A:J,8,0)*C6,"Not usable")-G6</f>
        <v>0</v>
      </c>
      <c r="L6" s="7" t="str">
        <f>IFERROR(VLOOKUP(B6,Database!A:J,9,0)*C6,"Not usable")</f>
        <v>Not usable</v>
      </c>
      <c r="M6" s="8" t="str">
        <f>IFERROR(VLOOKUP(B6,Database!A:J,10,0)*C6,"Not usable")</f>
        <v>Not usable</v>
      </c>
      <c r="N6" s="8" t="str">
        <f>IFERROR(VLOOKUP(B6,Database!A:K,11,0)*C6,"Not usable")</f>
        <v>Not usable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21.75" customHeight="1" x14ac:dyDescent="0.2">
      <c r="A7" s="3" t="s">
        <v>16</v>
      </c>
      <c r="B7" s="3" t="s">
        <v>17</v>
      </c>
      <c r="C7" s="10"/>
      <c r="D7" s="3">
        <f>VLOOKUP(B7,Database!A:F,6,0)*C7</f>
        <v>0</v>
      </c>
      <c r="E7" s="3">
        <f>VLOOKUP(B7,Database!A:F,3,0)*C7</f>
        <v>0</v>
      </c>
      <c r="F7" s="3">
        <f>VLOOKUP(B7,Database!A:G,7,0)*C7</f>
        <v>0</v>
      </c>
      <c r="G7" s="5"/>
      <c r="H7" s="6"/>
      <c r="I7" s="6"/>
      <c r="J7" s="6"/>
      <c r="K7" s="7">
        <f>IFERROR(VLOOKUP(B7,Database!A:J,8,0)*C7,"Not usable")-G7-(I7/3)*2</f>
        <v>0</v>
      </c>
      <c r="L7" s="7" t="str">
        <f>IFERROR(VLOOKUP(B7,Database!A:J,9,0)*C7,"Not usable")</f>
        <v>Not usable</v>
      </c>
      <c r="M7" s="8">
        <f>IFERROR(VLOOKUP(B7,Database!A:J,10,0)*C7,"Not usable")-I7-(G7/2)*3</f>
        <v>0</v>
      </c>
      <c r="N7" s="8" t="str">
        <f>IFERROR(VLOOKUP(B7,Database!A:K,11,0)*C7,"Not usable")</f>
        <v>Not usable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21.75" customHeight="1" x14ac:dyDescent="0.2">
      <c r="A8" s="3" t="s">
        <v>16</v>
      </c>
      <c r="B8" s="3" t="s">
        <v>18</v>
      </c>
      <c r="C8" s="9"/>
      <c r="D8" s="3">
        <f>VLOOKUP(B8,Database!A:F,6,0)*C8</f>
        <v>0</v>
      </c>
      <c r="E8" s="3">
        <f>VLOOKUP(B8,Database!A:F,3,0)*C8</f>
        <v>0</v>
      </c>
      <c r="F8" s="3">
        <f>VLOOKUP(B8,Database!A:G,7,0)*C8</f>
        <v>0</v>
      </c>
      <c r="G8" s="5"/>
      <c r="H8" s="6"/>
      <c r="I8" s="6"/>
      <c r="J8" s="6"/>
      <c r="K8" s="7">
        <f>IFERROR(VLOOKUP(B8,Database!A:J,8,0)*C8,"Not usable")</f>
        <v>0</v>
      </c>
      <c r="L8" s="7">
        <f>IFERROR(VLOOKUP(B8,Database!A:J,9,0)*C8,"Not usable")</f>
        <v>0</v>
      </c>
      <c r="M8" s="8">
        <f>IFERROR(VLOOKUP(B8,Database!A:J,10,0)*C8,"Not usable")</f>
        <v>0</v>
      </c>
      <c r="N8" s="8" t="str">
        <f>IFERROR(VLOOKUP(B8,Database!A:K,11,0)*C8,"Not usable")</f>
        <v>Not usable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</row>
    <row r="9" spans="1:34" ht="21.75" customHeight="1" x14ac:dyDescent="0.2">
      <c r="A9" s="3" t="s">
        <v>20</v>
      </c>
      <c r="B9" s="3" t="s">
        <v>19</v>
      </c>
      <c r="C9" s="9"/>
      <c r="D9" s="3">
        <f>VLOOKUP(B9,Database!A:F,6,0)*C9</f>
        <v>0</v>
      </c>
      <c r="E9" s="3">
        <f>VLOOKUP(B9,Database!A:F,3,0)*C9</f>
        <v>0</v>
      </c>
      <c r="F9" s="3">
        <f>VLOOKUP(B9,Database!A:G,7,0)*C9</f>
        <v>0</v>
      </c>
      <c r="G9" s="5"/>
      <c r="H9" s="6"/>
      <c r="I9" s="6"/>
      <c r="J9" s="6"/>
      <c r="K9" s="7" t="str">
        <f>IFERROR(VLOOKUP(B9,Database!A:J,8,0)*C9,"Not usable")</f>
        <v>Not usable</v>
      </c>
      <c r="L9" s="7">
        <f>IFERROR(VLOOKUP(B9,Database!A:J,9,0)*C9,"Not usable")-H9</f>
        <v>0</v>
      </c>
      <c r="M9" s="8" t="str">
        <f>IFERROR(VLOOKUP(B9,Database!A:J,10,0)*C9,"Not usable")</f>
        <v>Not usable</v>
      </c>
      <c r="N9" s="8" t="str">
        <f>IFERROR(VLOOKUP(B9,Database!A:K,11,0)*C9,"Not usable")</f>
        <v>Not usable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</row>
    <row r="10" spans="1:34" ht="21.75" customHeight="1" x14ac:dyDescent="0.2">
      <c r="A10" s="3" t="s">
        <v>22</v>
      </c>
      <c r="B10" s="3" t="s">
        <v>21</v>
      </c>
      <c r="C10" s="10"/>
      <c r="D10" s="3">
        <f>VLOOKUP(B10,Database!A:F,6,0)*C10</f>
        <v>0</v>
      </c>
      <c r="E10" s="3">
        <f>VLOOKUP(B10,Database!A:F,3,0)*C10</f>
        <v>0</v>
      </c>
      <c r="F10" s="3">
        <f>VLOOKUP(B10,Database!A:G,7,0)*C10</f>
        <v>0</v>
      </c>
      <c r="G10" s="5"/>
      <c r="H10" s="6"/>
      <c r="I10" s="6"/>
      <c r="J10" s="6"/>
      <c r="K10" s="7" t="str">
        <f>IFERROR(VLOOKUP(B10,Database!A:J,8,0)*C10,"Not usable")</f>
        <v>Not usable</v>
      </c>
      <c r="L10" s="7">
        <f>IFERROR(VLOOKUP(B10,Database!A:J,9,0)*C10,"Not usable")-H10</f>
        <v>0</v>
      </c>
      <c r="M10" s="8" t="str">
        <f>IFERROR(VLOOKUP(B10,Database!A:J,10,0)*C10,"Not usable")</f>
        <v>Not usable</v>
      </c>
      <c r="N10" s="8" t="str">
        <f>IFERROR(VLOOKUP(B10,Database!A:K,11,0)*C10,"Not usable")</f>
        <v>Not usable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</row>
    <row r="11" spans="1:34" ht="21.75" customHeight="1" thickBot="1" x14ac:dyDescent="0.25">
      <c r="A11" s="3" t="s">
        <v>22</v>
      </c>
      <c r="B11" s="3" t="s">
        <v>23</v>
      </c>
      <c r="C11" s="11"/>
      <c r="D11" s="3">
        <f>VLOOKUP(B11,Database!A:F,6,0)*C11</f>
        <v>0</v>
      </c>
      <c r="E11" s="3">
        <f>VLOOKUP(B11,Database!A:F,3,0)*C11</f>
        <v>0</v>
      </c>
      <c r="F11" s="3">
        <f>VLOOKUP(B11,Database!A:G,7,0)*C11</f>
        <v>0</v>
      </c>
      <c r="G11" s="12"/>
      <c r="H11" s="13"/>
      <c r="I11" s="6"/>
      <c r="J11" s="6"/>
      <c r="K11" s="14">
        <f>IFERROR(VLOOKUP(B11,Database!A:J,8,0)*C11,"Not usable")-G11-H11-I11</f>
        <v>0</v>
      </c>
      <c r="L11" s="14">
        <f>IFERROR(VLOOKUP(B11,Database!A:J,9,0)*C11,"Not usable")-G11-H11-I11</f>
        <v>0</v>
      </c>
      <c r="M11" s="15">
        <f>IFERROR(VLOOKUP(B11,Database!A:J,10,0)*C11,"Not usable")-G11-H11-I11</f>
        <v>0</v>
      </c>
      <c r="N11" s="8" t="str">
        <f>IFERROR(VLOOKUP(B11,Database!A:K,11,0)*C11,"Not usable")</f>
        <v>Not usable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</row>
    <row r="12" spans="1:34" ht="21.75" customHeight="1" thickTop="1" thickBot="1" x14ac:dyDescent="0.25">
      <c r="A12" s="3" t="s">
        <v>10</v>
      </c>
      <c r="B12" s="3" t="s">
        <v>41</v>
      </c>
      <c r="C12" s="27"/>
      <c r="D12" s="3">
        <f>VLOOKUP(B12,Database!A:F,6,0)*C12</f>
        <v>0</v>
      </c>
      <c r="E12" s="3">
        <f>VLOOKUP(B12,Database!A:F,3,0)*C12</f>
        <v>0</v>
      </c>
      <c r="F12" s="3">
        <f>VLOOKUP(B12,Database!A:G,7,0)*C12</f>
        <v>0</v>
      </c>
      <c r="G12" s="6"/>
      <c r="H12" s="6"/>
      <c r="I12" s="6"/>
      <c r="J12" s="6"/>
      <c r="K12" s="14" t="str">
        <f>IFERROR(VLOOKUP(B12,Database!A:J,8,0)*C12,"Not usable")</f>
        <v>Not usable</v>
      </c>
      <c r="L12" s="14" t="str">
        <f>IFERROR(VLOOKUP(B12,Database!A:J,9,0)*C12,"Not usable")</f>
        <v>Not usable</v>
      </c>
      <c r="M12" s="15" t="str">
        <f>IFERROR(VLOOKUP(B12,Database!A:J,10,0)*C12,"Not usable")</f>
        <v>Not usable</v>
      </c>
      <c r="N12" s="8">
        <f>IFERROR(VLOOKUP(B12,Database!A:K,11,0)*C12,"Not usable")-J12</f>
        <v>0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ht="21" x14ac:dyDescent="0.2">
      <c r="A13" s="3"/>
      <c r="B13" s="3"/>
      <c r="C13" s="3"/>
      <c r="D13" s="3"/>
      <c r="E13" s="3"/>
      <c r="F13" s="3"/>
      <c r="G13" s="3">
        <f>SUM(G2:G11)</f>
        <v>0</v>
      </c>
      <c r="H13" s="3">
        <f>SUM(H2:H11)</f>
        <v>0</v>
      </c>
      <c r="I13" s="3">
        <f>SUM(I2:I11)</f>
        <v>0</v>
      </c>
      <c r="J13" s="3">
        <f>SUM(J2:J11)</f>
        <v>0</v>
      </c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</row>
    <row r="14" spans="1:34" ht="15.75" customHeight="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ht="27" customHeight="1" x14ac:dyDescent="0.2">
      <c r="A15" s="16" t="s">
        <v>10</v>
      </c>
      <c r="B15" s="17">
        <f>SUMIFS($D$2:$D$12,$A$2:$A$12,A15)</f>
        <v>0</v>
      </c>
      <c r="C15" s="3">
        <v>200</v>
      </c>
      <c r="D15" s="16" t="s">
        <v>34</v>
      </c>
      <c r="E15" s="17">
        <f>SUM(E2:F11)</f>
        <v>0</v>
      </c>
      <c r="F15" s="3"/>
      <c r="G15" s="3">
        <v>15</v>
      </c>
      <c r="H15" s="3">
        <v>20</v>
      </c>
      <c r="I15" s="3">
        <v>5</v>
      </c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</row>
    <row r="16" spans="1:34" ht="27" customHeight="1" x14ac:dyDescent="0.2">
      <c r="A16" s="18" t="s">
        <v>16</v>
      </c>
      <c r="B16" s="19">
        <f>SUMIFS($D$2:$D$11,$A$2:$A$11,A16)</f>
        <v>0</v>
      </c>
      <c r="C16" s="3">
        <v>200</v>
      </c>
      <c r="D16" s="18" t="s">
        <v>35</v>
      </c>
      <c r="E16" s="20" t="s">
        <v>36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</row>
    <row r="17" spans="1:34" ht="27" customHeight="1" x14ac:dyDescent="0.2">
      <c r="A17" s="18" t="s">
        <v>20</v>
      </c>
      <c r="B17" s="19">
        <f>SUMIFS($D$2:$D$11,$A$2:$A$11,A17)</f>
        <v>0</v>
      </c>
      <c r="C17" s="3">
        <v>200</v>
      </c>
      <c r="D17" s="21" t="s">
        <v>37</v>
      </c>
      <c r="E17" s="22">
        <f>IF(E16&lt;&gt;"Yes",E15,E15+50)</f>
        <v>0</v>
      </c>
      <c r="F17" s="3"/>
      <c r="G17" s="3">
        <v>225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</row>
    <row r="18" spans="1:34" ht="27" customHeight="1" x14ac:dyDescent="0.2">
      <c r="A18" s="18" t="s">
        <v>22</v>
      </c>
      <c r="B18" s="19">
        <f>SUMIFS($D$2:$D$11,$A$2:$A$11,A18)</f>
        <v>0</v>
      </c>
      <c r="C18" s="3">
        <v>200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</row>
    <row r="19" spans="1:34" ht="27" customHeight="1" x14ac:dyDescent="0.2">
      <c r="A19" s="18" t="s">
        <v>38</v>
      </c>
      <c r="B19" s="19">
        <f>IF(E16&lt;&gt;"Yes",0,10)</f>
        <v>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</row>
    <row r="20" spans="1:34" ht="27" customHeight="1" x14ac:dyDescent="0.2">
      <c r="A20" s="23"/>
      <c r="B20" s="2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</row>
    <row r="21" spans="1:34" ht="27" customHeight="1" x14ac:dyDescent="0.2">
      <c r="A21" s="21" t="s">
        <v>39</v>
      </c>
      <c r="B21" s="25">
        <f>SUM(B15:B19)</f>
        <v>0</v>
      </c>
      <c r="C21" s="3" t="s">
        <v>40</v>
      </c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</row>
    <row r="22" spans="1:34" ht="15.75" customHeight="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</row>
    <row r="23" spans="1:34" ht="15.75" customHeight="1" x14ac:dyDescent="0.2"/>
    <row r="24" spans="1:34" ht="15.75" customHeight="1" x14ac:dyDescent="0.2"/>
    <row r="25" spans="1:34" ht="15.75" customHeight="1" x14ac:dyDescent="0.2"/>
    <row r="26" spans="1:34" ht="15.75" customHeight="1" x14ac:dyDescent="0.2"/>
    <row r="27" spans="1:34" ht="15.75" customHeight="1" x14ac:dyDescent="0.2"/>
    <row r="28" spans="1:34" ht="15.75" customHeight="1" x14ac:dyDescent="0.2"/>
    <row r="29" spans="1:34" ht="15.75" customHeight="1" x14ac:dyDescent="0.2"/>
    <row r="30" spans="1:34" ht="15.75" customHeight="1" x14ac:dyDescent="0.2"/>
    <row r="31" spans="1:34" ht="15.75" customHeight="1" x14ac:dyDescent="0.2"/>
    <row r="32" spans="1:34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conditionalFormatting sqref="K2:N12">
    <cfRule type="cellIs" dxfId="2" priority="1" operator="equal">
      <formula>"Not usable"</formula>
    </cfRule>
  </conditionalFormatting>
  <conditionalFormatting sqref="K2:N12">
    <cfRule type="cellIs" dxfId="1" priority="2" operator="equal">
      <formula>0</formula>
    </cfRule>
  </conditionalFormatting>
  <conditionalFormatting sqref="K2:N12">
    <cfRule type="cellIs" dxfId="0" priority="3" operator="greaterThan">
      <formula>0</formula>
    </cfRule>
  </conditionalFormatting>
  <dataValidations count="1">
    <dataValidation type="list" allowBlank="1" showErrorMessage="1" sqref="E16">
      <formula1>"Yes,No"</formula1>
    </dataValidation>
  </dataValidation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Database</vt:lpstr>
      <vt:lpstr>Interface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Saad ABOUCHADI</dc:creator>
  <cp:lastModifiedBy>joram bruno</cp:lastModifiedBy>
  <dcterms:created xsi:type="dcterms:W3CDTF">2019-06-20T15:55:15Z</dcterms:created>
  <dcterms:modified xsi:type="dcterms:W3CDTF">2021-07-21T11:41:52Z</dcterms:modified>
</cp:coreProperties>
</file>